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eenv.sharepoint.com/sites/DocumentationBuddy/Shared Documents/"/>
    </mc:Choice>
  </mc:AlternateContent>
  <xr:revisionPtr revIDLastSave="0" documentId="8_{A13A3FC9-CA03-4C0D-87B2-E8259D6282D7}" xr6:coauthVersionLast="47" xr6:coauthVersionMax="47" xr10:uidLastSave="{00000000-0000-0000-0000-000000000000}"/>
  <bookViews>
    <workbookView xWindow="-120" yWindow="-120" windowWidth="29040" windowHeight="15720" xr2:uid="{D09BE449-8A13-4A03-9045-97EA6E7CACBA}"/>
  </bookViews>
  <sheets>
    <sheet name="Buddy ROI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F4" i="1"/>
  <c r="F5" i="1" s="1"/>
  <c r="M5" i="1" l="1"/>
  <c r="M6" i="1"/>
  <c r="K7" i="1"/>
  <c r="F7" i="1"/>
  <c r="G5" i="1"/>
  <c r="F6" i="1"/>
  <c r="M7" i="1" l="1"/>
  <c r="K8" i="1"/>
  <c r="G7" i="1"/>
  <c r="H7" i="1" s="1"/>
  <c r="H5" i="1"/>
  <c r="K9" i="1" l="1"/>
  <c r="M8" i="1"/>
  <c r="H8" i="1"/>
  <c r="F9" i="1" s="1"/>
  <c r="G8" i="1"/>
  <c r="N4" i="1" l="1"/>
  <c r="N5" i="1"/>
  <c r="F11" i="1" s="1"/>
  <c r="B14" i="1" s="1"/>
  <c r="K10" i="1"/>
  <c r="M9" i="1"/>
  <c r="N33" i="1"/>
  <c r="N31" i="1"/>
  <c r="N29" i="1"/>
  <c r="N27" i="1"/>
  <c r="N25" i="1"/>
  <c r="N23" i="1"/>
  <c r="N21" i="1"/>
  <c r="N19" i="1"/>
  <c r="N17" i="1"/>
  <c r="N15" i="1"/>
  <c r="N11" i="1"/>
  <c r="N9" i="1"/>
  <c r="N28" i="1"/>
  <c r="N24" i="1"/>
  <c r="N20" i="1"/>
  <c r="N16" i="1"/>
  <c r="N14" i="1"/>
  <c r="N10" i="1"/>
  <c r="N6" i="1"/>
  <c r="F12" i="1" s="1"/>
  <c r="B15" i="1" s="1"/>
  <c r="N30" i="1"/>
  <c r="N26" i="1"/>
  <c r="N22" i="1"/>
  <c r="N7" i="1"/>
  <c r="F13" i="1" s="1"/>
  <c r="B16" i="1" s="1"/>
  <c r="N12" i="1"/>
  <c r="N32" i="1"/>
  <c r="N18" i="1"/>
  <c r="N8" i="1"/>
  <c r="N13" i="1"/>
  <c r="F10" i="1" l="1"/>
  <c r="E16" i="1" s="1"/>
  <c r="K11" i="1"/>
  <c r="M10" i="1"/>
  <c r="K12" i="1" l="1"/>
  <c r="M11" i="1"/>
  <c r="K13" i="1" l="1"/>
  <c r="M12" i="1"/>
  <c r="K14" i="1" l="1"/>
  <c r="M13" i="1"/>
  <c r="K15" i="1" l="1"/>
  <c r="M14" i="1"/>
  <c r="M15" i="1" l="1"/>
  <c r="K16" i="1"/>
  <c r="K17" i="1" l="1"/>
  <c r="M16" i="1"/>
  <c r="M17" i="1" l="1"/>
  <c r="K18" i="1"/>
  <c r="K19" i="1" l="1"/>
  <c r="M18" i="1"/>
  <c r="M19" i="1" l="1"/>
  <c r="K20" i="1"/>
  <c r="K21" i="1" l="1"/>
  <c r="M20" i="1"/>
  <c r="M21" i="1" l="1"/>
  <c r="K22" i="1"/>
  <c r="K23" i="1" l="1"/>
  <c r="M22" i="1"/>
  <c r="M23" i="1" l="1"/>
  <c r="K24" i="1"/>
  <c r="K25" i="1" l="1"/>
  <c r="M24" i="1"/>
  <c r="M25" i="1" l="1"/>
  <c r="K26" i="1"/>
  <c r="K27" i="1" l="1"/>
  <c r="M26" i="1"/>
  <c r="M27" i="1" l="1"/>
  <c r="K28" i="1"/>
  <c r="M28" i="1" l="1"/>
  <c r="K29" i="1"/>
  <c r="M29" i="1" l="1"/>
  <c r="K30" i="1"/>
  <c r="K31" i="1" l="1"/>
  <c r="M30" i="1"/>
  <c r="M31" i="1" l="1"/>
  <c r="K32" i="1"/>
  <c r="K33" i="1" l="1"/>
  <c r="M33" i="1" s="1"/>
  <c r="M32" i="1"/>
</calcChain>
</file>

<file path=xl/sharedStrings.xml><?xml version="1.0" encoding="utf-8"?>
<sst xmlns="http://schemas.openxmlformats.org/spreadsheetml/2006/main" count="44" uniqueCount="40">
  <si>
    <t>Buddy ROI Calculator</t>
  </si>
  <si>
    <t>Variables</t>
  </si>
  <si>
    <t>Calculations</t>
  </si>
  <si>
    <t>Besparing L/dag</t>
  </si>
  <si>
    <t>Besparing €/dag2023</t>
  </si>
  <si>
    <t>Year</t>
  </si>
  <si>
    <t>Waterprice/l</t>
  </si>
  <si>
    <t>Saving/ year treshold</t>
  </si>
  <si>
    <t>Besparing €/dagY1</t>
  </si>
  <si>
    <t>Number of toilets</t>
  </si>
  <si>
    <t>1.</t>
  </si>
  <si>
    <t>Expected flushes/toilet</t>
  </si>
  <si>
    <t>Average occupancy/day</t>
  </si>
  <si>
    <t>2.</t>
  </si>
  <si>
    <t>Actual needed flushes/toilet</t>
  </si>
  <si>
    <t>False flushes prevented</t>
  </si>
  <si>
    <t>3.</t>
  </si>
  <si>
    <t>Expected flush volume/toilet/day</t>
  </si>
  <si>
    <t>Average #uses/visitor/day</t>
  </si>
  <si>
    <t>4.</t>
  </si>
  <si>
    <t>Actual flush volume/toilet/day</t>
  </si>
  <si>
    <t>Achieved average flush volume</t>
  </si>
  <si>
    <t>5.</t>
  </si>
  <si>
    <t>Total saving/toilet/day</t>
  </si>
  <si>
    <t>Standard average flush volume</t>
  </si>
  <si>
    <t>6.</t>
  </si>
  <si>
    <t>ROI w.o. indexation (year)</t>
  </si>
  <si>
    <t>Smart Detect saving</t>
  </si>
  <si>
    <t>7.</t>
  </si>
  <si>
    <t>ROI (year)</t>
  </si>
  <si>
    <t>Flush volume saving</t>
  </si>
  <si>
    <t>8.</t>
  </si>
  <si>
    <t>ROI year 1</t>
  </si>
  <si>
    <t>Current water price €/m3</t>
  </si>
  <si>
    <t>9.</t>
  </si>
  <si>
    <t>ROI year 2</t>
  </si>
  <si>
    <t>Price evolution</t>
  </si>
  <si>
    <t>10.</t>
  </si>
  <si>
    <t>ROI year 3</t>
  </si>
  <si>
    <t>System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</si>
</sst>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\ &quot;€&quot;"/>
    <numFmt numFmtId="165" formatCode="#,##0.00\ &quot;€&quot;"/>
    <numFmt numFmtId="166" formatCode="#,##0\ &quot;€&quot;"/>
  </numFmts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/>
    <xf numFmtId="49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2" fillId="0" borderId="0" xfId="0" applyFont="1"/>
    <xf numFmtId="0" fontId="2" fillId="3" borderId="0" xfId="0" applyFont="1" applyFill="1"/>
    <xf numFmtId="164" fontId="2" fillId="3" borderId="0" xfId="0" applyNumberFormat="1" applyFont="1" applyFill="1"/>
    <xf numFmtId="0" fontId="0" fillId="0" borderId="0" xfId="0" applyAlignment="1">
      <alignment horizontal="left"/>
    </xf>
    <xf numFmtId="9" fontId="2" fillId="5" borderId="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9" fontId="1" fillId="2" borderId="4" xfId="0" applyNumberFormat="1" applyFont="1" applyFill="1" applyBorder="1" applyAlignment="1">
      <alignment horizontal="center"/>
    </xf>
    <xf numFmtId="9" fontId="1" fillId="2" borderId="5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3" fontId="2" fillId="5" borderId="6" xfId="0" applyNumberFormat="1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166" fontId="1" fillId="4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top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2685-2F86-49A1-B008-160602D9D605}">
  <dimension ref="A1:CD33"/>
  <sheetViews>
    <sheetView tabSelected="1" workbookViewId="0">
      <selection activeCell="S7" sqref="S7"/>
    </sheetView>
  </sheetViews>
  <sheetFormatPr defaultRowHeight="15"/>
  <cols>
    <col min="1" max="1" width="29.28515625" bestFit="1" customWidth="1"/>
    <col min="2" max="2" width="7" bestFit="1" customWidth="1"/>
    <col min="3" max="3" width="12.7109375" customWidth="1"/>
    <col min="4" max="4" width="9.140625" hidden="1" customWidth="1"/>
    <col min="5" max="5" width="31.5703125" hidden="1" customWidth="1"/>
    <col min="6" max="6" width="12.28515625" hidden="1" customWidth="1"/>
    <col min="7" max="7" width="15.28515625" hidden="1" customWidth="1"/>
    <col min="8" max="8" width="19.42578125" hidden="1" customWidth="1"/>
    <col min="9" max="10" width="9.140625" hidden="1" customWidth="1"/>
    <col min="11" max="11" width="4.85546875" hidden="1" customWidth="1"/>
    <col min="12" max="12" width="9.140625" style="1" hidden="1" customWidth="1"/>
    <col min="13" max="13" width="20" hidden="1" customWidth="1"/>
    <col min="14" max="14" width="17.5703125" hidden="1" customWidth="1"/>
  </cols>
  <sheetData>
    <row r="1" spans="1:82">
      <c r="A1" s="32" t="s">
        <v>0</v>
      </c>
      <c r="B1" s="32"/>
      <c r="C1" s="9"/>
      <c r="D1" s="9"/>
      <c r="E1" s="9"/>
      <c r="F1" s="9"/>
      <c r="G1" s="9"/>
      <c r="H1" s="9"/>
      <c r="I1" s="9"/>
      <c r="J1" s="10"/>
      <c r="L1" s="11"/>
    </row>
    <row r="2" spans="1:82" ht="15.75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</row>
    <row r="3" spans="1:82" ht="15.75" thickBot="1">
      <c r="A3" s="33" t="s">
        <v>1</v>
      </c>
      <c r="B3" s="34"/>
      <c r="C3" s="12"/>
      <c r="D3" s="13" t="s">
        <v>2</v>
      </c>
      <c r="E3" s="13"/>
      <c r="F3" s="13"/>
      <c r="G3" s="13" t="s">
        <v>3</v>
      </c>
      <c r="H3" s="13" t="s">
        <v>4</v>
      </c>
      <c r="K3" s="13" t="s">
        <v>5</v>
      </c>
      <c r="L3" s="14" t="s">
        <v>6</v>
      </c>
      <c r="M3" s="13" t="s">
        <v>7</v>
      </c>
      <c r="N3" s="13" t="s">
        <v>8</v>
      </c>
    </row>
    <row r="4" spans="1:82" ht="15.75" thickBot="1">
      <c r="A4" s="26" t="s">
        <v>9</v>
      </c>
      <c r="B4" s="24">
        <v>20</v>
      </c>
      <c r="C4" s="15"/>
      <c r="D4" t="s">
        <v>10</v>
      </c>
      <c r="E4" t="s">
        <v>11</v>
      </c>
      <c r="F4" s="5">
        <f>(((B7*B5)/B4)/(1-B6))</f>
        <v>557.62711864406776</v>
      </c>
      <c r="H4" s="2"/>
      <c r="K4">
        <v>2023</v>
      </c>
      <c r="L4" s="1">
        <f>B12/1000</f>
        <v>3.2577999999999999E-3</v>
      </c>
      <c r="M4" s="2">
        <f>$E$15/365</f>
        <v>3.7452054794520548</v>
      </c>
      <c r="N4" s="2">
        <f>G$8*L4</f>
        <v>7.5630241127118643</v>
      </c>
    </row>
    <row r="5" spans="1:82" ht="15.75" thickBot="1">
      <c r="A5" s="27" t="s">
        <v>12</v>
      </c>
      <c r="B5" s="25">
        <v>1000</v>
      </c>
      <c r="D5" t="s">
        <v>13</v>
      </c>
      <c r="E5" t="s">
        <v>14</v>
      </c>
      <c r="F5">
        <f>F4*(1-B6)</f>
        <v>329</v>
      </c>
      <c r="G5" s="5">
        <f>(F4-F5)*B9</f>
        <v>1371.7627118644066</v>
      </c>
      <c r="H5" s="2">
        <f>G5*L$4</f>
        <v>4.4689285627118638</v>
      </c>
      <c r="K5">
        <f>K4+1</f>
        <v>2024</v>
      </c>
      <c r="L5" s="1">
        <f t="shared" ref="L5:L33" si="0">L4*(1+B$13)</f>
        <v>3.6161580000000004E-3</v>
      </c>
      <c r="M5" s="2">
        <f>$E$15/(365*(1+K5-K$4))</f>
        <v>1.8726027397260274</v>
      </c>
      <c r="N5" s="2">
        <f>G$8*L5</f>
        <v>8.3949567651101713</v>
      </c>
    </row>
    <row r="6" spans="1:82" ht="15.75" thickBot="1">
      <c r="A6" s="26" t="s">
        <v>15</v>
      </c>
      <c r="B6" s="16">
        <v>0.41</v>
      </c>
      <c r="D6" t="s">
        <v>16</v>
      </c>
      <c r="E6" t="s">
        <v>17</v>
      </c>
      <c r="F6">
        <f>F5*B9</f>
        <v>1974</v>
      </c>
      <c r="G6" s="5"/>
      <c r="H6" s="2"/>
      <c r="K6">
        <f t="shared" ref="K6:K33" si="1">K5+1</f>
        <v>2025</v>
      </c>
      <c r="L6" s="1">
        <f t="shared" si="0"/>
        <v>4.0139353800000008E-3</v>
      </c>
      <c r="M6" s="2">
        <f>$E$15/(365*(1+K6-K$4))</f>
        <v>1.2484018264840182</v>
      </c>
      <c r="N6" s="2">
        <f t="shared" ref="N6:N33" si="2">G$8*L6</f>
        <v>9.3184020092722903</v>
      </c>
    </row>
    <row r="7" spans="1:82" ht="15.75" thickBot="1">
      <c r="A7" s="26" t="s">
        <v>18</v>
      </c>
      <c r="B7" s="22">
        <v>6.58</v>
      </c>
      <c r="D7" t="s">
        <v>19</v>
      </c>
      <c r="E7" t="s">
        <v>20</v>
      </c>
      <c r="F7">
        <f>F5*B8</f>
        <v>1024.25</v>
      </c>
      <c r="G7" s="5">
        <f>F6-F7</f>
        <v>949.75</v>
      </c>
      <c r="H7" s="2">
        <f>G7*L$4</f>
        <v>3.09409555</v>
      </c>
      <c r="K7">
        <f t="shared" si="1"/>
        <v>2026</v>
      </c>
      <c r="L7" s="1">
        <f t="shared" si="0"/>
        <v>4.4554682718000015E-3</v>
      </c>
      <c r="M7" s="2">
        <f>$E$15/(365*(1+K7-K$4))</f>
        <v>0.93630136986301371</v>
      </c>
      <c r="N7" s="2">
        <f t="shared" si="2"/>
        <v>10.343426230292243</v>
      </c>
    </row>
    <row r="8" spans="1:82">
      <c r="A8" s="28" t="s">
        <v>21</v>
      </c>
      <c r="B8" s="17">
        <v>3.1132218844984805</v>
      </c>
      <c r="C8" s="6"/>
      <c r="D8" t="s">
        <v>22</v>
      </c>
      <c r="E8" t="s">
        <v>23</v>
      </c>
      <c r="G8" s="5">
        <f>G5+G7</f>
        <v>2321.5127118644068</v>
      </c>
      <c r="H8" s="2">
        <f>H5+H7</f>
        <v>7.5630241127118634</v>
      </c>
      <c r="I8" s="2"/>
      <c r="J8" s="2"/>
      <c r="K8">
        <f t="shared" si="1"/>
        <v>2027</v>
      </c>
      <c r="L8" s="1">
        <f t="shared" si="0"/>
        <v>4.9455697816980018E-3</v>
      </c>
      <c r="M8" s="2">
        <f>$E$15/(365*(1+K8-K$4))</f>
        <v>0.74904109589041101</v>
      </c>
      <c r="N8" s="2">
        <f t="shared" si="2"/>
        <v>11.481203115624391</v>
      </c>
      <c r="O8" s="2"/>
      <c r="P8" s="2"/>
      <c r="Q8" s="2"/>
      <c r="R8" s="2"/>
      <c r="S8" s="2"/>
      <c r="T8" s="2"/>
    </row>
    <row r="9" spans="1:82">
      <c r="A9" s="26" t="s">
        <v>24</v>
      </c>
      <c r="B9" s="18">
        <v>6</v>
      </c>
      <c r="D9" t="s">
        <v>25</v>
      </c>
      <c r="E9" t="s">
        <v>26</v>
      </c>
      <c r="F9" s="7">
        <f>(E15/H8)/365</f>
        <v>0.49519946302394391</v>
      </c>
      <c r="I9" s="2"/>
      <c r="J9" s="2"/>
      <c r="K9">
        <f t="shared" si="1"/>
        <v>2028</v>
      </c>
      <c r="L9" s="1">
        <f t="shared" si="0"/>
        <v>5.4895824576847822E-3</v>
      </c>
      <c r="M9" s="2">
        <f>$E$15/(365*(1+K9-K$4))</f>
        <v>0.6242009132420091</v>
      </c>
      <c r="N9" s="2">
        <f t="shared" si="2"/>
        <v>12.744135458343074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</row>
    <row r="10" spans="1:82">
      <c r="A10" s="26" t="s">
        <v>27</v>
      </c>
      <c r="B10" s="19">
        <v>0.31</v>
      </c>
      <c r="D10" t="s">
        <v>28</v>
      </c>
      <c r="E10" t="s">
        <v>29</v>
      </c>
      <c r="F10" s="8">
        <f>IF(N4&lt;M4,(IF(N5&lt;M5,(IF(N6&lt;M6,(IF(N7&lt;M7,(IF(N8&lt;M8,(IF(N9&lt;M9,(IF(N10&lt;M10,(IF(N11&lt;M11,(IF(N12&lt;M12,(IF(N13&lt;M13,(IF(N14&lt;M14,(IF(N15&lt;M15,(IF(N16&lt;M16,(IF(N17&lt;M17,(IF(N18&lt;M18,(IF(N19&lt;M19,(IF(N20&lt;M20,(IF(N21&lt;M21,(IF(N22&lt;M22,(IF(N23&lt;M23,(IF(N24&lt;M24,(IF(N25&lt;M25,(IF(N26&lt;M26,(IF(N27&lt;M27,(IF(N28&lt;M28,(IF(N29&lt;M29,(IF(N30&lt;M30,(IF(N31&lt;M31,(IF(N32&lt;M32,(IF(N33&lt;M33,999,(E15/N33)/365)),(E15/N32)/365)),(E15/N31)/365)),(E15/N30)/365)),(E15/N29)/365)),(E15/N28)/365)),(E15/N27)/365)),(E15/N26)/365)),(E15/N25)/365)),(E15/N24)/365)),(E15/N23)/365)),(E15/N22)/365)),(E15/N21)/365)),(E15/N20)/365)),(E15/N19)/365)),(E15/N18)/365)),(E15/N17)/365)),(E15/N16)/365)),(E15/N15)/365)),(E15/N14)/365)),(E15/N13)/365)),(E15/N12)/365)),(E15/N11)/365)),(E15/N10)/365)),(E15/N9)/365)),(E15/N8)/365)),(E15/N7)/365)),(E15/N6)/365)),((E15/N5)/365))),(E15/N4)/365)</f>
        <v>0.49519946302394385</v>
      </c>
      <c r="K10">
        <f t="shared" si="1"/>
        <v>2029</v>
      </c>
      <c r="L10" s="1">
        <f t="shared" si="0"/>
        <v>6.093436528030109E-3</v>
      </c>
      <c r="M10" s="2">
        <f>$E$15/(365*(1+K10-K$4))</f>
        <v>0.53502935420743636</v>
      </c>
      <c r="N10" s="2">
        <f t="shared" si="2"/>
        <v>14.145990358760814</v>
      </c>
    </row>
    <row r="11" spans="1:82">
      <c r="A11" s="26" t="s">
        <v>30</v>
      </c>
      <c r="B11" s="20">
        <v>0.28000000000000003</v>
      </c>
      <c r="D11" t="s">
        <v>31</v>
      </c>
      <c r="E11" t="s">
        <v>32</v>
      </c>
      <c r="F11" s="8">
        <f>N5*365</f>
        <v>3064.1592192652124</v>
      </c>
      <c r="K11">
        <f t="shared" si="1"/>
        <v>2030</v>
      </c>
      <c r="L11" s="1">
        <f t="shared" si="0"/>
        <v>6.7637145461134215E-3</v>
      </c>
      <c r="M11" s="2">
        <f>$E$15/(365*(1+K11-K$4))</f>
        <v>0.46815068493150686</v>
      </c>
      <c r="N11" s="2">
        <f t="shared" si="2"/>
        <v>15.702049298224505</v>
      </c>
    </row>
    <row r="12" spans="1:82">
      <c r="A12" s="26" t="s">
        <v>33</v>
      </c>
      <c r="B12" s="21">
        <v>3.2578</v>
      </c>
      <c r="D12" t="s">
        <v>34</v>
      </c>
      <c r="E12" t="s">
        <v>35</v>
      </c>
      <c r="F12" s="8">
        <f t="shared" ref="F12:F13" si="3">N6*365</f>
        <v>3401.2167333843859</v>
      </c>
      <c r="K12">
        <f t="shared" si="1"/>
        <v>2031</v>
      </c>
      <c r="L12" s="1">
        <f t="shared" si="0"/>
        <v>7.5077231461858985E-3</v>
      </c>
      <c r="M12" s="2">
        <f>$E$15/(365*(1+K12-K$4))</f>
        <v>0.41613394216133942</v>
      </c>
      <c r="N12" s="2">
        <f t="shared" si="2"/>
        <v>17.429274721029202</v>
      </c>
    </row>
    <row r="13" spans="1:82">
      <c r="A13" s="26" t="s">
        <v>36</v>
      </c>
      <c r="B13" s="20">
        <v>0.11</v>
      </c>
      <c r="D13" t="s">
        <v>37</v>
      </c>
      <c r="E13" t="s">
        <v>38</v>
      </c>
      <c r="F13" s="8">
        <f t="shared" si="3"/>
        <v>3775.3505740566688</v>
      </c>
      <c r="K13">
        <f t="shared" si="1"/>
        <v>2032</v>
      </c>
      <c r="L13" s="1">
        <f t="shared" si="0"/>
        <v>8.3335726922663476E-3</v>
      </c>
      <c r="M13" s="2">
        <f>$E$15/(365*(1+K13-K$4))</f>
        <v>0.37452054794520551</v>
      </c>
      <c r="N13" s="2">
        <f t="shared" si="2"/>
        <v>19.346494940342414</v>
      </c>
    </row>
    <row r="14" spans="1:82">
      <c r="A14" s="31" t="s">
        <v>32</v>
      </c>
      <c r="B14" s="30">
        <f>F11</f>
        <v>3064.1592192652124</v>
      </c>
      <c r="K14">
        <f t="shared" si="1"/>
        <v>2033</v>
      </c>
      <c r="L14" s="1">
        <f t="shared" si="0"/>
        <v>9.2502656884156462E-3</v>
      </c>
      <c r="M14" s="2">
        <f>$E$15/(365*(1+K14-K$4))</f>
        <v>0.34047322540473224</v>
      </c>
      <c r="N14" s="2">
        <f t="shared" si="2"/>
        <v>21.474609383780081</v>
      </c>
    </row>
    <row r="15" spans="1:82">
      <c r="A15" s="31" t="s">
        <v>35</v>
      </c>
      <c r="B15" s="30">
        <f t="shared" ref="B15:B16" si="4">F12</f>
        <v>3401.2167333843859</v>
      </c>
      <c r="D15" s="26" t="s">
        <v>39</v>
      </c>
      <c r="E15" s="21">
        <v>1367</v>
      </c>
      <c r="F15" s="3"/>
      <c r="K15">
        <f t="shared" si="1"/>
        <v>2034</v>
      </c>
      <c r="L15" s="1">
        <f t="shared" si="0"/>
        <v>1.0267794914141369E-2</v>
      </c>
      <c r="M15" s="2">
        <f>$E$15/(365*(1+K15-K$4))</f>
        <v>0.31210045662100455</v>
      </c>
      <c r="N15" s="2">
        <f t="shared" si="2"/>
        <v>23.836816415995894</v>
      </c>
    </row>
    <row r="16" spans="1:82" ht="15.75" thickBot="1">
      <c r="A16" s="31" t="s">
        <v>38</v>
      </c>
      <c r="B16" s="30">
        <f t="shared" si="4"/>
        <v>3775.3505740566688</v>
      </c>
      <c r="D16" s="29" t="s">
        <v>29</v>
      </c>
      <c r="E16" s="23">
        <f>F10</f>
        <v>0.49519946302394385</v>
      </c>
      <c r="K16">
        <f t="shared" si="1"/>
        <v>2035</v>
      </c>
      <c r="L16" s="1">
        <f t="shared" si="0"/>
        <v>1.1397252354696919E-2</v>
      </c>
      <c r="M16" s="2">
        <f>$E$15/(365*(1+K16-K$4))</f>
        <v>0.28809272918861961</v>
      </c>
      <c r="N16" s="2">
        <f t="shared" si="2"/>
        <v>26.458866221755443</v>
      </c>
    </row>
    <row r="17" spans="5:14">
      <c r="K17">
        <f t="shared" si="1"/>
        <v>2036</v>
      </c>
      <c r="L17" s="1">
        <f t="shared" si="0"/>
        <v>1.2650950113713581E-2</v>
      </c>
      <c r="M17" s="2">
        <f>$E$15/(365*(1+K17-K$4))</f>
        <v>0.26751467710371818</v>
      </c>
      <c r="N17" s="2">
        <f t="shared" si="2"/>
        <v>29.36934150614854</v>
      </c>
    </row>
    <row r="18" spans="5:14">
      <c r="F18" s="3"/>
      <c r="K18">
        <f t="shared" si="1"/>
        <v>2037</v>
      </c>
      <c r="L18" s="1">
        <f t="shared" si="0"/>
        <v>1.4042554626222076E-2</v>
      </c>
      <c r="M18" s="2">
        <f>$E$15/(365*(1+K18-K$4))</f>
        <v>0.24968036529680365</v>
      </c>
      <c r="N18" s="2">
        <f t="shared" si="2"/>
        <v>32.599969071824887</v>
      </c>
    </row>
    <row r="19" spans="5:14">
      <c r="E19" s="2"/>
      <c r="K19">
        <f t="shared" si="1"/>
        <v>2038</v>
      </c>
      <c r="L19" s="1">
        <f t="shared" si="0"/>
        <v>1.5587235635106507E-2</v>
      </c>
      <c r="M19" s="2">
        <f>$E$15/(365*(1+K19-K$4))</f>
        <v>0.23407534246575343</v>
      </c>
      <c r="N19" s="2">
        <f t="shared" si="2"/>
        <v>36.185965669725626</v>
      </c>
    </row>
    <row r="20" spans="5:14">
      <c r="K20">
        <f t="shared" si="1"/>
        <v>2039</v>
      </c>
      <c r="L20" s="1">
        <f t="shared" si="0"/>
        <v>1.7301831554968224E-2</v>
      </c>
      <c r="M20" s="2">
        <f>$E$15/(365*(1+K20-K$4))</f>
        <v>0.22030620467365028</v>
      </c>
      <c r="N20" s="2">
        <f t="shared" si="2"/>
        <v>40.166421893395452</v>
      </c>
    </row>
    <row r="21" spans="5:14">
      <c r="K21">
        <f t="shared" si="1"/>
        <v>2040</v>
      </c>
      <c r="L21" s="1">
        <f t="shared" si="0"/>
        <v>1.9205033026014732E-2</v>
      </c>
      <c r="M21" s="2">
        <f>$E$15/(365*(1+K21-K$4))</f>
        <v>0.20806697108066971</v>
      </c>
      <c r="N21" s="2">
        <f t="shared" si="2"/>
        <v>44.584728301668953</v>
      </c>
    </row>
    <row r="22" spans="5:14">
      <c r="K22">
        <f t="shared" si="1"/>
        <v>2041</v>
      </c>
      <c r="L22" s="1">
        <f t="shared" si="0"/>
        <v>2.1317586658876356E-2</v>
      </c>
      <c r="M22" s="2">
        <f>$E$15/(365*(1+K22-K$4))</f>
        <v>0.19711607786589763</v>
      </c>
      <c r="N22" s="2">
        <f t="shared" si="2"/>
        <v>49.489048414852547</v>
      </c>
    </row>
    <row r="23" spans="5:14">
      <c r="K23">
        <f t="shared" si="1"/>
        <v>2042</v>
      </c>
      <c r="L23" s="1">
        <f t="shared" si="0"/>
        <v>2.3662521191352755E-2</v>
      </c>
      <c r="M23" s="2">
        <f>$E$15/(365*(1+K23-K$4))</f>
        <v>0.18726027397260275</v>
      </c>
      <c r="N23" s="2">
        <f t="shared" si="2"/>
        <v>54.932843740486327</v>
      </c>
    </row>
    <row r="24" spans="5:14">
      <c r="K24">
        <f t="shared" si="1"/>
        <v>2043</v>
      </c>
      <c r="L24" s="1">
        <f t="shared" si="0"/>
        <v>2.6265398522401562E-2</v>
      </c>
      <c r="M24" s="2">
        <f>$E$15/(365*(1+K24-K$4))</f>
        <v>0.17834311806914546</v>
      </c>
      <c r="N24" s="2">
        <f t="shared" si="2"/>
        <v>60.975456551939835</v>
      </c>
    </row>
    <row r="25" spans="5:14">
      <c r="F25" s="4"/>
      <c r="K25">
        <f t="shared" si="1"/>
        <v>2044</v>
      </c>
      <c r="L25" s="1">
        <f t="shared" si="0"/>
        <v>2.9154592359865734E-2</v>
      </c>
      <c r="M25" s="2">
        <f>$E$15/(365*(1+K25-K$4))</f>
        <v>0.17023661270236612</v>
      </c>
      <c r="N25" s="2">
        <f t="shared" si="2"/>
        <v>67.682756772653221</v>
      </c>
    </row>
    <row r="26" spans="5:14">
      <c r="K26">
        <f t="shared" si="1"/>
        <v>2045</v>
      </c>
      <c r="L26" s="1">
        <f t="shared" si="0"/>
        <v>3.2361597519450967E-2</v>
      </c>
      <c r="M26" s="2">
        <f>$E$15/(365*(1+K26-K$4))</f>
        <v>0.1628350208457415</v>
      </c>
      <c r="N26" s="2">
        <f t="shared" si="2"/>
        <v>75.127860017645077</v>
      </c>
    </row>
    <row r="27" spans="5:14">
      <c r="K27">
        <f t="shared" si="1"/>
        <v>2046</v>
      </c>
      <c r="L27" s="1">
        <f t="shared" si="0"/>
        <v>3.5921373246590574E-2</v>
      </c>
      <c r="M27" s="2">
        <f>$E$15/(365*(1+K27-K$4))</f>
        <v>0.15605022831050228</v>
      </c>
      <c r="N27" s="2">
        <f t="shared" si="2"/>
        <v>83.391924619586035</v>
      </c>
    </row>
    <row r="28" spans="5:14">
      <c r="K28">
        <f t="shared" si="1"/>
        <v>2047</v>
      </c>
      <c r="L28" s="1">
        <f t="shared" si="0"/>
        <v>3.9872724303715537E-2</v>
      </c>
      <c r="M28" s="2">
        <f>$E$15/(365*(1+K28-K$4))</f>
        <v>0.14980821917808218</v>
      </c>
      <c r="N28" s="2">
        <f t="shared" si="2"/>
        <v>92.565036327740501</v>
      </c>
    </row>
    <row r="29" spans="5:14">
      <c r="K29">
        <f t="shared" si="1"/>
        <v>2048</v>
      </c>
      <c r="L29" s="1">
        <f t="shared" si="0"/>
        <v>4.4258723977124249E-2</v>
      </c>
      <c r="M29" s="2">
        <f>$E$15/(365*(1+K29-K$4))</f>
        <v>0.14404636459430981</v>
      </c>
      <c r="N29" s="2">
        <f t="shared" si="2"/>
        <v>102.74719032379195</v>
      </c>
    </row>
    <row r="30" spans="5:14">
      <c r="K30">
        <f t="shared" si="1"/>
        <v>2049</v>
      </c>
      <c r="L30" s="1">
        <f t="shared" si="0"/>
        <v>4.9127183614607918E-2</v>
      </c>
      <c r="M30" s="2">
        <f>$E$15/(365*(1+K30-K$4))</f>
        <v>0.13871131405377982</v>
      </c>
      <c r="N30" s="2">
        <f t="shared" si="2"/>
        <v>114.04938125940907</v>
      </c>
    </row>
    <row r="31" spans="5:14">
      <c r="K31">
        <f t="shared" si="1"/>
        <v>2050</v>
      </c>
      <c r="L31" s="1">
        <f t="shared" si="0"/>
        <v>5.4531173812214791E-2</v>
      </c>
      <c r="M31" s="2">
        <f>$E$15/(365*(1+K31-K$4))</f>
        <v>0.13375733855185909</v>
      </c>
      <c r="N31" s="2">
        <f t="shared" si="2"/>
        <v>126.59481319794408</v>
      </c>
    </row>
    <row r="32" spans="5:14">
      <c r="K32">
        <f>K31+1</f>
        <v>2051</v>
      </c>
      <c r="L32" s="1">
        <f t="shared" si="0"/>
        <v>6.0529602931558422E-2</v>
      </c>
      <c r="M32" s="2">
        <f>$E$15/(365*(1+K32-K$4))</f>
        <v>0.12914501653282948</v>
      </c>
      <c r="N32" s="2">
        <f t="shared" si="2"/>
        <v>140.52024264971794</v>
      </c>
    </row>
    <row r="33" spans="11:14">
      <c r="K33">
        <f t="shared" si="1"/>
        <v>2052</v>
      </c>
      <c r="L33" s="1">
        <f t="shared" si="0"/>
        <v>6.7187859254029855E-2</v>
      </c>
      <c r="M33" s="2">
        <f>$E$15/(365*(1+K33-K$4))</f>
        <v>0.12484018264840183</v>
      </c>
      <c r="N33" s="2">
        <f t="shared" si="2"/>
        <v>155.97746934118692</v>
      </c>
    </row>
  </sheetData>
  <sheetProtection algorithmName="SHA-512" hashValue="59/Gzq1Uwyqnow8+qu9F2Q8oljYCj5yEdjgZv12OcfaeH2nje+6NOPCtJpbUTXhCxtEBgRMtJbeZPj6Y1tqAbA==" saltValue="vH/wO3rx2rV5/T/U/jA/nA==" spinCount="100000" sheet="1" objects="1" scenarios="1"/>
  <mergeCells count="2">
    <mergeCell ref="A1:B1"/>
    <mergeCell ref="A3:B3"/>
  </mergeCells>
  <pageMargins left="0.7" right="0.7" top="0.75" bottom="0.75" header="0.3" footer="0.3"/>
  <pageSetup paperSize="0" orientation="portrait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AD7F064FE24D488916F57D9AB6C6E6" ma:contentTypeVersion="4" ma:contentTypeDescription="Create a new document." ma:contentTypeScope="" ma:versionID="8ed4cfccbc927cf17bfa088149636f55">
  <xsd:schema xmlns:xsd="http://www.w3.org/2001/XMLSchema" xmlns:xs="http://www.w3.org/2001/XMLSchema" xmlns:p="http://schemas.microsoft.com/office/2006/metadata/properties" xmlns:ns2="ae339402-f855-4f6e-acf7-fdd4cef74d8f" targetNamespace="http://schemas.microsoft.com/office/2006/metadata/properties" ma:root="true" ma:fieldsID="56133e58f239cf1eb7aa1746cb8c0288" ns2:_="">
    <xsd:import namespace="ae339402-f855-4f6e-acf7-fdd4cef74d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39402-f855-4f6e-acf7-fdd4cef74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8A5CEA-3E83-4CD9-BDFA-44A32DE782E9}"/>
</file>

<file path=customXml/itemProps2.xml><?xml version="1.0" encoding="utf-8"?>
<ds:datastoreItem xmlns:ds="http://schemas.openxmlformats.org/officeDocument/2006/customXml" ds:itemID="{117DBC38-BE26-444C-8EF3-DE92BCB8C83D}"/>
</file>

<file path=customXml/itemProps3.xml><?xml version="1.0" encoding="utf-8"?>
<ds:datastoreItem xmlns:ds="http://schemas.openxmlformats.org/officeDocument/2006/customXml" ds:itemID="{66168778-4664-406B-99F7-0E25DFD5C8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Joerik Machiels</dc:creator>
  <cp:keywords/>
  <dc:description/>
  <cp:lastModifiedBy/>
  <cp:revision/>
  <dcterms:created xsi:type="dcterms:W3CDTF">2023-12-28T10:37:21Z</dcterms:created>
  <dcterms:modified xsi:type="dcterms:W3CDTF">2024-11-04T09:45:51Z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0x01010078AD7F064FE24D488916F57D9AB6C6E6</vt:lpwstr>
  </property>
</Properties>
</file>